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2" yWindow="0" windowWidth="14748" windowHeight="10824"/>
  </bookViews>
  <sheets>
    <sheet name="Vis-Ecrou" sheetId="1" r:id="rId1"/>
  </sheets>
  <definedNames>
    <definedName name="Capp">'Vis-Ecrou'!$D$55</definedName>
    <definedName name="Cd">'Vis-Ecrou'!$D$52</definedName>
    <definedName name="Cfd">'Vis-Ecrou'!$D$54</definedName>
    <definedName name="Cfm">'Vis-Ecrou'!$D$53</definedName>
    <definedName name="Cm">'Vis-Ecrou'!$D$51</definedName>
    <definedName name="Cud">'Vis-Ecrou'!$D$50</definedName>
    <definedName name="Cum">'Vis-Ecrou'!$D$49</definedName>
    <definedName name="DemAlph">'Vis-Ecrou'!$D$44</definedName>
    <definedName name="Dm">'Vis-Ecrou'!$D$45</definedName>
    <definedName name="DmaxApp">'Vis-Ecrou'!$D$18</definedName>
    <definedName name="DminApp">'Vis-Ecrou'!$D$17</definedName>
    <definedName name="Dnom">'Vis-Ecrou'!$D$8</definedName>
    <definedName name="f">'Vis-Ecrou'!$D$16</definedName>
    <definedName name="fapp">'Vis-Ecrou'!$D$19</definedName>
    <definedName name="Fv">'Vis-Ecrou'!$D$5</definedName>
    <definedName name="H">'Vis-Ecrou'!$D$12</definedName>
    <definedName name="Ncis">'Vis-Ecrou'!$D$70</definedName>
    <definedName name="Nf">'Vis-Ecrou'!$D$11</definedName>
    <definedName name="Npf">'Vis-Ecrou'!$D$61</definedName>
    <definedName name="Ntf">'Vis-Ecrou'!$D$60</definedName>
    <definedName name="P">'Vis-Ecrou'!$D$9</definedName>
    <definedName name="Papp">'Vis-Ecrou'!$D$58</definedName>
    <definedName name="Pf">'Vis-Ecrou'!$D$56</definedName>
    <definedName name="Pm">'Vis-Ecrou'!$D$57</definedName>
    <definedName name="PrApp">'Vis-Ecrou'!$D$68</definedName>
    <definedName name="Prf">'Vis-Ecrou'!$D$66</definedName>
    <definedName name="S1_">'Vis-Ecrou'!$D$63</definedName>
    <definedName name="Sc">'Vis-Ecrou'!$D$59</definedName>
    <definedName name="Scis">'Vis-Ecrou'!$D$64</definedName>
    <definedName name="Sct">'Vis-Ecrou'!$D$62</definedName>
    <definedName name="Va">'Vis-Ecrou'!$D$46</definedName>
    <definedName name="VmApp">'Vis-Ecrou'!$D$69</definedName>
    <definedName name="Vmf">'Vis-Ecrou'!$D$67</definedName>
    <definedName name="Vz">'Vis-Ecrou'!$D$6</definedName>
    <definedName name="α">'Vis-Ecrou'!$D$10</definedName>
  </definedNames>
  <calcPr calcId="145621"/>
</workbook>
</file>

<file path=xl/calcChain.xml><?xml version="1.0" encoding="utf-8"?>
<calcChain xmlns="http://schemas.openxmlformats.org/spreadsheetml/2006/main">
  <c r="D68" i="1" l="1"/>
  <c r="D33" i="1" s="1"/>
  <c r="D55" i="1"/>
  <c r="D35" i="1" s="1"/>
  <c r="D45" i="1"/>
  <c r="D60" i="1"/>
  <c r="D61" i="1" s="1"/>
  <c r="D44" i="1"/>
  <c r="D63" i="1" s="1"/>
  <c r="D49" i="1"/>
  <c r="D50" i="1" s="1"/>
  <c r="D46" i="1"/>
  <c r="D69" i="1" l="1"/>
  <c r="D34" i="1" s="1"/>
  <c r="D47" i="1"/>
  <c r="D58" i="1"/>
  <c r="D36" i="1" s="1"/>
  <c r="D52" i="1"/>
  <c r="D64" i="1"/>
  <c r="D70" i="1" s="1"/>
  <c r="D28" i="1" s="1"/>
  <c r="D67" i="1"/>
  <c r="D25" i="1" s="1"/>
  <c r="D59" i="1"/>
  <c r="D62" i="1" s="1"/>
  <c r="D66" i="1" s="1"/>
  <c r="D24" i="1" s="1"/>
  <c r="D51" i="1"/>
  <c r="D26" i="1" s="1"/>
  <c r="D54" i="1" l="1"/>
  <c r="D27" i="1"/>
  <c r="D53" i="1"/>
  <c r="D56" i="1" s="1"/>
  <c r="D30" i="1" s="1"/>
  <c r="D57" i="1"/>
  <c r="D29" i="1" s="1"/>
  <c r="F32" i="1" s="1"/>
</calcChain>
</file>

<file path=xl/sharedStrings.xml><?xml version="1.0" encoding="utf-8"?>
<sst xmlns="http://schemas.openxmlformats.org/spreadsheetml/2006/main" count="146" uniqueCount="127">
  <si>
    <t>DONNEES DE BASE</t>
  </si>
  <si>
    <t>Vz</t>
  </si>
  <si>
    <t>Diamètre nominal de la vis en mm</t>
  </si>
  <si>
    <t>Dnom</t>
  </si>
  <si>
    <t>P</t>
  </si>
  <si>
    <t>Angle au sommet du filet en degrés</t>
  </si>
  <si>
    <t>Hauteur de l'écrou en mm</t>
  </si>
  <si>
    <t>H</t>
  </si>
  <si>
    <t>Matière écrou</t>
  </si>
  <si>
    <t>Matière vis</t>
  </si>
  <si>
    <t>f</t>
  </si>
  <si>
    <t>Prf</t>
  </si>
  <si>
    <t>Vitesse moyenne de frottement en m.s-1</t>
  </si>
  <si>
    <t>Vmf</t>
  </si>
  <si>
    <t>Ncis</t>
  </si>
  <si>
    <t>CALCULS INTERMEDIAIRES</t>
  </si>
  <si>
    <t>Fv</t>
  </si>
  <si>
    <t>Diamètre moyen en mm</t>
  </si>
  <si>
    <t>Dm</t>
  </si>
  <si>
    <t>Va</t>
  </si>
  <si>
    <t>Couple utile de montée en N.m</t>
  </si>
  <si>
    <t>Cum</t>
  </si>
  <si>
    <t>Couple utile de descente en N.m</t>
  </si>
  <si>
    <t>Cud</t>
  </si>
  <si>
    <t>Cud = - Cum ( charge motrice )</t>
  </si>
  <si>
    <t>Cm</t>
  </si>
  <si>
    <t>Cd</t>
  </si>
  <si>
    <t>Couple de frottement  en montée en N.m</t>
  </si>
  <si>
    <t>Cfm</t>
  </si>
  <si>
    <t>Cfm = Cm - Cum</t>
  </si>
  <si>
    <t>Couple de frottement  en descente en N.m</t>
  </si>
  <si>
    <t>Cfd</t>
  </si>
  <si>
    <t>Surface de contact d'un filet en mm2</t>
  </si>
  <si>
    <t>Sc</t>
  </si>
  <si>
    <t>Nombre théorique de filets en contact</t>
  </si>
  <si>
    <t>Ntf</t>
  </si>
  <si>
    <t>Nombre pratique de filets en contact</t>
  </si>
  <si>
    <t>Npf</t>
  </si>
  <si>
    <t>Npf = 1,5 . Dnom / P</t>
  </si>
  <si>
    <t>Surface de contact totale en mm2</t>
  </si>
  <si>
    <t>Sct</t>
  </si>
  <si>
    <t>Sct = Sc . Npf</t>
  </si>
  <si>
    <t>Section  1 filet écrou au D nominal  vis en mm2</t>
  </si>
  <si>
    <t>S1</t>
  </si>
  <si>
    <t>Section  filet écrou au D nominal  vis en mm2</t>
  </si>
  <si>
    <t>Scis</t>
  </si>
  <si>
    <t>Scis = S1 . Npf</t>
  </si>
  <si>
    <t>Prf = Fv / Sct</t>
  </si>
  <si>
    <t>Vmf = Dm/2 . Va</t>
  </si>
  <si>
    <t>Ncis = Fv / Scis</t>
  </si>
  <si>
    <t>Bronze</t>
  </si>
  <si>
    <t>α</t>
  </si>
  <si>
    <t>α/2</t>
  </si>
  <si>
    <t>Acier au carbone</t>
  </si>
  <si>
    <t>Eviter acier inox qui grippe beaucoup plus facilement</t>
  </si>
  <si>
    <t>Pression répartie sur les filets en MPa</t>
  </si>
  <si>
    <t>Contrainte de cisaillement en MPa</t>
  </si>
  <si>
    <r>
      <t xml:space="preserve">α / 2 = 2 . </t>
    </r>
    <r>
      <rPr>
        <sz val="8"/>
        <rFont val="Arial"/>
        <family val="2"/>
      </rPr>
      <t>π</t>
    </r>
    <r>
      <rPr>
        <sz val="8"/>
        <rFont val="Arial"/>
        <family val="2"/>
      </rPr>
      <t xml:space="preserve"> . α / ( 2 . 360 )</t>
    </r>
  </si>
  <si>
    <t>Va = Vz . 2 . π / P</t>
  </si>
  <si>
    <t>Cum = Fv . P / 2 . π</t>
  </si>
  <si>
    <t>Cm = Fv . Dm/2 (P + π . f . Dm/cos (α/2) ) / ( π . Dm - f . P / cos (α/2) )</t>
  </si>
  <si>
    <t>Cd = Fv . Dm/2 ( π . f . Dm/cos (α/2) - P) / (π . Dm + f . P /cos(α/2) )</t>
  </si>
  <si>
    <t xml:space="preserve">Cfd = Cd - Cud </t>
  </si>
  <si>
    <t>Force vis/écrou en N</t>
  </si>
  <si>
    <t>Vitesse vis/écrou en m.s-1</t>
  </si>
  <si>
    <t>Coeff. frottement entre les deux matériaux</t>
  </si>
  <si>
    <t xml:space="preserve">17 à 24 </t>
  </si>
  <si>
    <t>11 à 17</t>
  </si>
  <si>
    <t>5 à 10</t>
  </si>
  <si>
    <t>1 à 2</t>
  </si>
  <si>
    <t>0,05 (intermittent)</t>
  </si>
  <si>
    <t>0,1 à 0,23</t>
  </si>
  <si>
    <t>Pression maxi permise (en MPa)</t>
  </si>
  <si>
    <t>Pf</t>
  </si>
  <si>
    <t>Puissance dissipée en frottement (montée) en W</t>
  </si>
  <si>
    <t>&lt; 0,04 (si bonne lub.)</t>
  </si>
  <si>
    <t>Je n'ai pas pour les vitesses supérieures...</t>
  </si>
  <si>
    <t>Demi-angle au sommet du filet en rad</t>
  </si>
  <si>
    <t>Vitesse angulaire en rad.s-1</t>
  </si>
  <si>
    <t>Pour une vitesse de frottement (en m/s)</t>
  </si>
  <si>
    <t>Limites avec vis acier et écrou bronze</t>
  </si>
  <si>
    <t>Inutile de dépasser 1,5 x Dnom (c'est la limite prise dans les calculs ci-dessous)</t>
  </si>
  <si>
    <t>Filet trapézoïdal std : 30°   -   Carré : 0°  -   Triangulaire std : 60°</t>
  </si>
  <si>
    <r>
      <t xml:space="preserve">Couple total en montée en N.m </t>
    </r>
    <r>
      <rPr>
        <sz val="8"/>
        <color indexed="10"/>
        <rFont val="Arial"/>
        <family val="2"/>
      </rPr>
      <t>*</t>
    </r>
  </si>
  <si>
    <r>
      <t xml:space="preserve">Couple total en descente en N.m </t>
    </r>
    <r>
      <rPr>
        <sz val="8"/>
        <color indexed="10"/>
        <rFont val="Arial"/>
        <family val="2"/>
      </rPr>
      <t>*</t>
    </r>
  </si>
  <si>
    <t xml:space="preserve">à vérifier ici   </t>
  </si>
  <si>
    <t>Pm</t>
  </si>
  <si>
    <t>Puissance minimale en montée en W</t>
  </si>
  <si>
    <t>Pf = Cfm . Va</t>
  </si>
  <si>
    <t>Pm = Cm . Va</t>
  </si>
  <si>
    <t>Nombre de filets</t>
  </si>
  <si>
    <t>Nf</t>
  </si>
  <si>
    <t>Sc = π . Dm . P/2/Nf</t>
  </si>
  <si>
    <t>Ntf = H / P * Nf</t>
  </si>
  <si>
    <t>Dm = Dnom - ( P / 2 / Nf )</t>
  </si>
  <si>
    <t>S1 = π . Dnom . P/ Nf / 2 ( 1+ tan(a/2) )</t>
  </si>
  <si>
    <t>Pas réel en mm ( = avance par tour )</t>
  </si>
  <si>
    <t>NOTA : on parle de montée et de descente car ici le système est considéré vertical avec une charge pesante</t>
  </si>
  <si>
    <t xml:space="preserve">Une vis au pas de 6 mm - 2 filets par ex. présente le même profil qu'une vis au pas de 3 mm - 1 filet </t>
  </si>
  <si>
    <t>Coeff. frottement collerette vis / appui</t>
  </si>
  <si>
    <t>fapp</t>
  </si>
  <si>
    <t>Couple de frottement  collerette/appui en N.m</t>
  </si>
  <si>
    <t>Capp</t>
  </si>
  <si>
    <t>Papp</t>
  </si>
  <si>
    <t>DminApp</t>
  </si>
  <si>
    <t>DmaxApp</t>
  </si>
  <si>
    <t>Capp = Fv . Fapp . (DmaxApp+DminApp)/2</t>
  </si>
  <si>
    <t>Couple total en montée en N.m</t>
  </si>
  <si>
    <t>Couple total en descente en N.m</t>
  </si>
  <si>
    <t>RESULTATS (hors frottement collerette appui)</t>
  </si>
  <si>
    <t>RESULTATS (frottement collerette appui, seul)</t>
  </si>
  <si>
    <t>Couple de frottement collerette/appui en N.m</t>
  </si>
  <si>
    <t>Puissance dissipée en frottement collerette en W</t>
  </si>
  <si>
    <t>Papp = Capp . Va</t>
  </si>
  <si>
    <t>Calcul d'un système vis-écrou (avec prise en compte appui sur collerette vis ou écrou)</t>
  </si>
  <si>
    <r>
      <t>Diamètre mini collerette appui vis en mm</t>
    </r>
    <r>
      <rPr>
        <sz val="8"/>
        <color rgb="FFFF0000"/>
        <rFont val="Arial"/>
        <family val="2"/>
      </rPr>
      <t xml:space="preserve"> *</t>
    </r>
  </si>
  <si>
    <r>
      <t>Diamètre maxi collerette appui vis en mm</t>
    </r>
    <r>
      <rPr>
        <b/>
        <sz val="8"/>
        <color rgb="FFFF0000"/>
        <rFont val="Arial"/>
        <family val="2"/>
      </rPr>
      <t xml:space="preserve"> *</t>
    </r>
  </si>
  <si>
    <t>Pression répartie sur la collerette en MPa</t>
  </si>
  <si>
    <t>PrApp</t>
  </si>
  <si>
    <t>VmApp</t>
  </si>
  <si>
    <t>Vitesse moyenne de frottement collerette en m.s-1</t>
  </si>
  <si>
    <t>PrApp = =Fv/(π*(DminApp²-DmaxApp²)/4)</t>
  </si>
  <si>
    <t>VmApp =  (DmaxApp+DminApp)/2 . Va</t>
  </si>
  <si>
    <r>
      <rPr>
        <b/>
        <sz val="8"/>
        <color rgb="FFFF0000"/>
        <rFont val="Arial"/>
        <family val="2"/>
      </rPr>
      <t xml:space="preserve">* </t>
    </r>
    <r>
      <rPr>
        <sz val="8"/>
        <color rgb="FFFF0000"/>
        <rFont val="Arial"/>
        <family val="2"/>
      </rPr>
      <t>ou appui d'écrou si écrou tournant et vis fixe</t>
    </r>
  </si>
  <si>
    <t>Fréquence rotation en RPM</t>
  </si>
  <si>
    <t>N</t>
  </si>
  <si>
    <t>N = Va/PI()*30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</si>
</sst>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MS Sans Serif"/>
    </font>
    <font>
      <b/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0" xfId="0" applyFont="1" applyBorder="1" applyAlignment="1"/>
    <xf numFmtId="2" fontId="2" fillId="0" borderId="0" xfId="0" applyNumberFormat="1" applyFont="1" applyAlignment="1"/>
    <xf numFmtId="0" fontId="2" fillId="0" borderId="0" xfId="0" applyFont="1" applyBorder="1" applyAlignment="1"/>
    <xf numFmtId="0" fontId="6" fillId="0" borderId="0" xfId="0" applyFont="1" applyAlignment="1">
      <alignment horizontal="right"/>
    </xf>
    <xf numFmtId="1" fontId="2" fillId="0" borderId="0" xfId="0" applyNumberFormat="1" applyFont="1" applyAlignment="1"/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/>
    <xf numFmtId="0" fontId="6" fillId="0" borderId="3" xfId="0" applyFont="1" applyBorder="1"/>
    <xf numFmtId="2" fontId="2" fillId="0" borderId="4" xfId="0" applyNumberFormat="1" applyFont="1" applyBorder="1" applyAlignment="1"/>
    <xf numFmtId="0" fontId="0" fillId="0" borderId="4" xfId="0" applyBorder="1" applyAlignment="1"/>
    <xf numFmtId="0" fontId="6" fillId="0" borderId="5" xfId="0" applyFont="1" applyBorder="1"/>
    <xf numFmtId="0" fontId="3" fillId="0" borderId="6" xfId="0" applyFont="1" applyBorder="1" applyAlignment="1">
      <alignment horizontal="center"/>
    </xf>
    <xf numFmtId="2" fontId="2" fillId="0" borderId="7" xfId="0" applyNumberFormat="1" applyFont="1" applyBorder="1" applyAlignment="1"/>
    <xf numFmtId="0" fontId="2" fillId="0" borderId="4" xfId="0" applyFont="1" applyBorder="1" applyAlignment="1">
      <alignment horizontal="center"/>
    </xf>
    <xf numFmtId="0" fontId="6" fillId="0" borderId="3" xfId="0" applyFont="1" applyBorder="1" applyAlignment="1">
      <alignment vertical="top"/>
    </xf>
    <xf numFmtId="0" fontId="6" fillId="0" borderId="8" xfId="0" applyFont="1" applyBorder="1"/>
    <xf numFmtId="0" fontId="3" fillId="0" borderId="9" xfId="0" applyFont="1" applyBorder="1" applyAlignment="1">
      <alignment horizontal="center"/>
    </xf>
    <xf numFmtId="2" fontId="2" fillId="0" borderId="10" xfId="0" applyNumberFormat="1" applyFont="1" applyBorder="1" applyAlignment="1"/>
    <xf numFmtId="0" fontId="6" fillId="0" borderId="0" xfId="0" applyFont="1" applyBorder="1"/>
    <xf numFmtId="2" fontId="2" fillId="0" borderId="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5" fillId="0" borderId="11" xfId="0" applyFont="1" applyBorder="1" applyAlignment="1"/>
    <xf numFmtId="2" fontId="2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0" fontId="2" fillId="0" borderId="12" xfId="0" applyFont="1" applyBorder="1" applyAlignment="1"/>
    <xf numFmtId="1" fontId="2" fillId="2" borderId="10" xfId="0" applyNumberFormat="1" applyFont="1" applyFill="1" applyBorder="1" applyAlignment="1">
      <alignment horizontal="center"/>
    </xf>
    <xf numFmtId="0" fontId="5" fillId="0" borderId="8" xfId="0" applyFont="1" applyBorder="1"/>
    <xf numFmtId="0" fontId="5" fillId="0" borderId="3" xfId="0" applyFont="1" applyBorder="1"/>
    <xf numFmtId="0" fontId="8" fillId="0" borderId="3" xfId="0" applyFont="1" applyBorder="1"/>
    <xf numFmtId="0" fontId="5" fillId="0" borderId="5" xfId="0" applyFont="1" applyBorder="1"/>
    <xf numFmtId="0" fontId="3" fillId="0" borderId="16" xfId="0" applyFont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6" fillId="0" borderId="18" xfId="0" applyFont="1" applyBorder="1"/>
    <xf numFmtId="0" fontId="3" fillId="0" borderId="19" xfId="0" applyFont="1" applyBorder="1" applyAlignment="1">
      <alignment horizontal="center"/>
    </xf>
    <xf numFmtId="2" fontId="2" fillId="3" borderId="20" xfId="0" applyNumberFormat="1" applyFont="1" applyFill="1" applyBorder="1" applyAlignment="1">
      <alignment horizontal="center"/>
    </xf>
    <xf numFmtId="0" fontId="6" fillId="0" borderId="21" xfId="0" applyFont="1" applyBorder="1"/>
    <xf numFmtId="0" fontId="3" fillId="0" borderId="22" xfId="0" applyFont="1" applyBorder="1" applyAlignment="1">
      <alignment horizontal="center"/>
    </xf>
    <xf numFmtId="2" fontId="2" fillId="3" borderId="23" xfId="0" applyNumberFormat="1" applyFont="1" applyFill="1" applyBorder="1" applyAlignment="1">
      <alignment horizontal="center"/>
    </xf>
    <xf numFmtId="0" fontId="2" fillId="3" borderId="23" xfId="0" applyNumberFormat="1" applyFont="1" applyFill="1" applyBorder="1" applyAlignment="1">
      <alignment horizontal="center"/>
    </xf>
    <xf numFmtId="0" fontId="6" fillId="0" borderId="24" xfId="0" applyFont="1" applyBorder="1"/>
    <xf numFmtId="0" fontId="3" fillId="0" borderId="25" xfId="0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center"/>
    </xf>
    <xf numFmtId="1" fontId="2" fillId="3" borderId="26" xfId="0" applyNumberFormat="1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2" fontId="3" fillId="5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top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144780</xdr:colOff>
      <xdr:row>23</xdr:row>
      <xdr:rowOff>0</xdr:rowOff>
    </xdr:from>
    <xdr:to>
      <xdr:col>5</xdr:col>
      <xdr:colOff>60960</xdr:colOff>
      <xdr:row>25</xdr:row>
      <xdr:rowOff>0</xdr:rowOff>
    </xdr:to>
    <xdr:sp macro="" textlink="">
      <xdr:nvSpPr>
        <xdr:cNvPr id="1025" name="AutoShape 1"/>
        <xdr:cNvSpPr>
          <a:spLocks/>
        </xdr:cNvSpPr>
      </xdr:nvSpPr>
      <xdr:spPr bwMode="auto">
        <a:xfrm>
          <a:off x="4366260" y="3710940"/>
          <a:ext cx="99060" cy="350520"/>
        </a:xfrm>
        <a:prstGeom prst="rightBrace">
          <a:avLst>
            <a:gd name="adj1" fmla="val 2948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1219200</xdr:colOff>
      <xdr:row>22</xdr:row>
      <xdr:rowOff>7620</xdr:rowOff>
    </xdr:from>
    <xdr:to>
      <xdr:col>5</xdr:col>
      <xdr:colOff>1295400</xdr:colOff>
      <xdr:row>25</xdr:row>
      <xdr:rowOff>167640</xdr:rowOff>
    </xdr:to>
    <xdr:sp macro="" textlink="">
      <xdr:nvSpPr>
        <xdr:cNvPr id="1026" name="AutoShape 2"/>
        <xdr:cNvSpPr>
          <a:spLocks/>
        </xdr:cNvSpPr>
      </xdr:nvSpPr>
      <xdr:spPr bwMode="auto">
        <a:xfrm flipH="1">
          <a:off x="5623560" y="3543300"/>
          <a:ext cx="76200" cy="685800"/>
        </a:xfrm>
        <a:prstGeom prst="rightBrace">
          <a:avLst>
            <a:gd name="adj1" fmla="val 75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327660</xdr:colOff>
      <xdr:row>24</xdr:row>
      <xdr:rowOff>38100</xdr:rowOff>
    </xdr:from>
    <xdr:to>
      <xdr:col>5</xdr:col>
      <xdr:colOff>1089660</xdr:colOff>
      <xdr:row>24</xdr:row>
      <xdr:rowOff>38100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4732020" y="3924300"/>
          <a:ext cx="76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76200</xdr:colOff>
      <xdr:row>28</xdr:row>
      <xdr:rowOff>106680</xdr:rowOff>
    </xdr:from>
    <xdr:to>
      <xdr:col>5</xdr:col>
      <xdr:colOff>701040</xdr:colOff>
      <xdr:row>30</xdr:row>
      <xdr:rowOff>152400</xdr:rowOff>
    </xdr:to>
    <xdr:sp macro="" textlink="">
      <xdr:nvSpPr>
        <xdr:cNvPr id="2" name="Forme libre 1"/>
        <xdr:cNvSpPr/>
      </xdr:nvSpPr>
      <xdr:spPr>
        <a:xfrm>
          <a:off x="4556760" y="4853940"/>
          <a:ext cx="807720" cy="388620"/>
        </a:xfrm>
        <a:custGeom>
          <a:avLst/>
          <a:gdLst>
            <a:gd name="connsiteX0" fmla="*/ 0 w 807720"/>
            <a:gd name="connsiteY0" fmla="*/ 0 h 167640"/>
            <a:gd name="connsiteX1" fmla="*/ 807720 w 807720"/>
            <a:gd name="connsiteY1" fmla="*/ 0 h 167640"/>
            <a:gd name="connsiteX2" fmla="*/ 807720 w 807720"/>
            <a:gd name="connsiteY2" fmla="*/ 167640 h 1676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07720" h="167640">
              <a:moveTo>
                <a:pt x="0" y="0"/>
              </a:moveTo>
              <a:lnTo>
                <a:pt x="807720" y="0"/>
              </a:lnTo>
              <a:lnTo>
                <a:pt x="807720" y="167640"/>
              </a:lnTo>
            </a:path>
          </a:pathLst>
        </a:custGeom>
        <a:noFill/>
        <a:ln w="9525"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76200</xdr:colOff>
      <xdr:row>33</xdr:row>
      <xdr:rowOff>15240</xdr:rowOff>
    </xdr:from>
    <xdr:to>
      <xdr:col>5</xdr:col>
      <xdr:colOff>701040</xdr:colOff>
      <xdr:row>35</xdr:row>
      <xdr:rowOff>106680</xdr:rowOff>
    </xdr:to>
    <xdr:sp macro="" textlink="">
      <xdr:nvSpPr>
        <xdr:cNvPr id="6" name="Forme libre 5"/>
        <xdr:cNvSpPr/>
      </xdr:nvSpPr>
      <xdr:spPr>
        <a:xfrm flipV="1">
          <a:off x="4556760" y="5623560"/>
          <a:ext cx="807720" cy="426720"/>
        </a:xfrm>
        <a:custGeom>
          <a:avLst/>
          <a:gdLst>
            <a:gd name="connsiteX0" fmla="*/ 0 w 807720"/>
            <a:gd name="connsiteY0" fmla="*/ 0 h 167640"/>
            <a:gd name="connsiteX1" fmla="*/ 807720 w 807720"/>
            <a:gd name="connsiteY1" fmla="*/ 0 h 167640"/>
            <a:gd name="connsiteX2" fmla="*/ 807720 w 807720"/>
            <a:gd name="connsiteY2" fmla="*/ 167640 h 1676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07720" h="167640">
              <a:moveTo>
                <a:pt x="0" y="0"/>
              </a:moveTo>
              <a:lnTo>
                <a:pt x="807720" y="0"/>
              </a:lnTo>
              <a:lnTo>
                <a:pt x="807720" y="167640"/>
              </a:lnTo>
            </a:path>
          </a:pathLst>
        </a:custGeom>
        <a:noFill/>
        <a:ln w="9525"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H95"/>
  <sheetViews>
    <sheetView showGridLines="0" tabSelected="1" workbookViewId="0">
      <selection activeCell="H15" sqref="H15"/>
    </sheetView>
  </sheetViews>
  <sheetFormatPr baseColWidth="10" defaultColWidth="11.44140625" defaultRowHeight="13.2" x14ac:dyDescent="0.25"/>
  <cols>
    <col min="1" max="1" width="7" style="1" customWidth="1"/>
    <col min="2" max="2" width="40.109375" style="8" customWidth="1"/>
    <col min="3" max="3" width="9.5546875" style="2" customWidth="1"/>
    <col min="4" max="4" width="8.6640625" style="4" customWidth="1"/>
    <col min="5" max="5" width="2.6640625" style="1" customWidth="1"/>
    <col min="6" max="6" width="20.33203125" style="7" customWidth="1"/>
    <col min="7" max="7" width="20.6640625" style="1" customWidth="1"/>
    <col min="8" max="8" width="19.44140625" style="1" customWidth="1"/>
    <col min="9" max="9" width="4" style="1" customWidth="1"/>
    <col min="10" max="16384" width="11.44140625" style="1"/>
  </cols>
  <sheetData>
    <row r="2" spans="2:8" ht="15.6" x14ac:dyDescent="0.3">
      <c r="B2" s="63" t="s">
        <v>114</v>
      </c>
    </row>
    <row r="3" spans="2:8" ht="13.8" thickBot="1" x14ac:dyDescent="0.3"/>
    <row r="4" spans="2:8" ht="13.8" thickBot="1" x14ac:dyDescent="0.3">
      <c r="B4" s="65" t="s">
        <v>0</v>
      </c>
      <c r="C4" s="66"/>
      <c r="D4" s="67"/>
      <c r="E4" s="11"/>
      <c r="F4" s="74" t="s">
        <v>97</v>
      </c>
      <c r="G4" s="75"/>
      <c r="H4" s="75"/>
    </row>
    <row r="5" spans="2:8" x14ac:dyDescent="0.25">
      <c r="B5" s="29" t="s">
        <v>63</v>
      </c>
      <c r="C5" s="30" t="s">
        <v>16</v>
      </c>
      <c r="D5" s="45">
        <v>20000</v>
      </c>
      <c r="E5" s="3"/>
      <c r="F5" s="74"/>
      <c r="G5" s="75"/>
      <c r="H5" s="75"/>
    </row>
    <row r="6" spans="2:8" x14ac:dyDescent="0.25">
      <c r="B6" s="21" t="s">
        <v>64</v>
      </c>
      <c r="C6" s="18" t="s">
        <v>1</v>
      </c>
      <c r="D6" s="34">
        <v>2.5000000000000001E-2</v>
      </c>
      <c r="E6" s="3"/>
    </row>
    <row r="7" spans="2:8" x14ac:dyDescent="0.25">
      <c r="B7" s="21"/>
      <c r="C7" s="18"/>
      <c r="D7" s="27"/>
      <c r="E7" s="3"/>
    </row>
    <row r="8" spans="2:8" x14ac:dyDescent="0.25">
      <c r="B8" s="21" t="s">
        <v>2</v>
      </c>
      <c r="C8" s="18" t="s">
        <v>3</v>
      </c>
      <c r="D8" s="34">
        <v>42</v>
      </c>
      <c r="E8" s="3"/>
    </row>
    <row r="9" spans="2:8" x14ac:dyDescent="0.25">
      <c r="B9" s="21" t="s">
        <v>96</v>
      </c>
      <c r="C9" s="18" t="s">
        <v>4</v>
      </c>
      <c r="D9" s="34">
        <v>4.5</v>
      </c>
      <c r="E9" s="3"/>
      <c r="F9" s="7" t="s">
        <v>98</v>
      </c>
    </row>
    <row r="10" spans="2:8" x14ac:dyDescent="0.25">
      <c r="B10" s="21" t="s">
        <v>5</v>
      </c>
      <c r="C10" s="18" t="s">
        <v>51</v>
      </c>
      <c r="D10" s="34">
        <v>30</v>
      </c>
      <c r="E10" s="3"/>
      <c r="F10" s="7" t="s">
        <v>82</v>
      </c>
    </row>
    <row r="11" spans="2:8" x14ac:dyDescent="0.25">
      <c r="B11" s="21" t="s">
        <v>90</v>
      </c>
      <c r="C11" s="18" t="s">
        <v>91</v>
      </c>
      <c r="D11" s="34">
        <v>1</v>
      </c>
      <c r="E11" s="3"/>
    </row>
    <row r="12" spans="2:8" x14ac:dyDescent="0.25">
      <c r="B12" s="21" t="s">
        <v>6</v>
      </c>
      <c r="C12" s="18" t="s">
        <v>7</v>
      </c>
      <c r="D12" s="34">
        <v>60</v>
      </c>
      <c r="E12" s="3"/>
      <c r="F12" s="7" t="s">
        <v>81</v>
      </c>
    </row>
    <row r="13" spans="2:8" x14ac:dyDescent="0.25">
      <c r="B13" s="21"/>
      <c r="C13" s="18"/>
      <c r="D13" s="27"/>
      <c r="E13" s="3"/>
    </row>
    <row r="14" spans="2:8" ht="12.75" customHeight="1" x14ac:dyDescent="0.25">
      <c r="B14" s="28" t="s">
        <v>8</v>
      </c>
      <c r="C14" s="69" t="s">
        <v>50</v>
      </c>
      <c r="D14" s="70"/>
      <c r="E14" s="14"/>
      <c r="F14" s="15"/>
    </row>
    <row r="15" spans="2:8" x14ac:dyDescent="0.25">
      <c r="B15" s="21" t="s">
        <v>9</v>
      </c>
      <c r="C15" s="71" t="s">
        <v>53</v>
      </c>
      <c r="D15" s="72"/>
      <c r="E15" s="3"/>
      <c r="F15" s="7" t="s">
        <v>54</v>
      </c>
    </row>
    <row r="16" spans="2:8" x14ac:dyDescent="0.25">
      <c r="B16" s="21" t="s">
        <v>65</v>
      </c>
      <c r="C16" s="18" t="s">
        <v>10</v>
      </c>
      <c r="D16" s="34">
        <v>0.13</v>
      </c>
      <c r="E16" s="3"/>
    </row>
    <row r="17" spans="2:8" x14ac:dyDescent="0.25">
      <c r="B17" s="21" t="s">
        <v>115</v>
      </c>
      <c r="C17" s="18" t="s">
        <v>104</v>
      </c>
      <c r="D17" s="34">
        <v>45</v>
      </c>
      <c r="E17" s="3"/>
      <c r="F17" s="64" t="s">
        <v>123</v>
      </c>
    </row>
    <row r="18" spans="2:8" s="16" customFormat="1" ht="12.75" customHeight="1" x14ac:dyDescent="0.25">
      <c r="B18" s="21" t="s">
        <v>116</v>
      </c>
      <c r="C18" s="50" t="s">
        <v>105</v>
      </c>
      <c r="D18" s="51">
        <v>55</v>
      </c>
      <c r="E18" s="3"/>
      <c r="F18" s="7"/>
      <c r="G18" s="1"/>
      <c r="H18" s="1"/>
    </row>
    <row r="19" spans="2:8" ht="13.8" thickBot="1" x14ac:dyDescent="0.3">
      <c r="B19" s="24" t="s">
        <v>99</v>
      </c>
      <c r="C19" s="25" t="s">
        <v>100</v>
      </c>
      <c r="D19" s="35">
        <v>0.13</v>
      </c>
      <c r="E19" s="3"/>
      <c r="G19" s="73" t="s">
        <v>80</v>
      </c>
      <c r="H19" s="73"/>
    </row>
    <row r="20" spans="2:8" x14ac:dyDescent="0.25">
      <c r="E20" s="9"/>
      <c r="G20" s="76" t="s">
        <v>79</v>
      </c>
      <c r="H20" s="76" t="s">
        <v>72</v>
      </c>
    </row>
    <row r="21" spans="2:8" x14ac:dyDescent="0.25">
      <c r="E21" s="11"/>
      <c r="G21" s="76"/>
      <c r="H21" s="76"/>
    </row>
    <row r="22" spans="2:8" ht="13.8" thickBot="1" x14ac:dyDescent="0.3">
      <c r="G22" s="76"/>
      <c r="H22" s="77"/>
    </row>
    <row r="23" spans="2:8" ht="13.8" thickBot="1" x14ac:dyDescent="0.3">
      <c r="B23" s="65" t="s">
        <v>109</v>
      </c>
      <c r="C23" s="66"/>
      <c r="D23" s="67"/>
      <c r="E23" s="40"/>
      <c r="F23" s="38"/>
      <c r="G23" s="17" t="s">
        <v>75</v>
      </c>
      <c r="H23" s="17" t="s">
        <v>66</v>
      </c>
    </row>
    <row r="24" spans="2:8" x14ac:dyDescent="0.25">
      <c r="B24" s="52" t="s">
        <v>55</v>
      </c>
      <c r="C24" s="53" t="s">
        <v>11</v>
      </c>
      <c r="D24" s="54">
        <f>Prf</f>
        <v>5.3385305858916672</v>
      </c>
      <c r="E24" s="41"/>
      <c r="F24" s="37" t="s">
        <v>85</v>
      </c>
      <c r="G24" s="17" t="s">
        <v>70</v>
      </c>
      <c r="H24" s="36" t="s">
        <v>67</v>
      </c>
    </row>
    <row r="25" spans="2:8" x14ac:dyDescent="0.25">
      <c r="B25" s="55" t="s">
        <v>12</v>
      </c>
      <c r="C25" s="56" t="s">
        <v>13</v>
      </c>
      <c r="D25" s="57">
        <f>Vmf</f>
        <v>0.69376837766774591</v>
      </c>
      <c r="E25" s="42"/>
      <c r="G25" s="17" t="s">
        <v>71</v>
      </c>
      <c r="H25" s="17" t="s">
        <v>68</v>
      </c>
    </row>
    <row r="26" spans="2:8" x14ac:dyDescent="0.25">
      <c r="B26" s="55" t="s">
        <v>107</v>
      </c>
      <c r="C26" s="56" t="s">
        <v>25</v>
      </c>
      <c r="D26" s="58">
        <f>ROUNDUP(Cm,0)</f>
        <v>69</v>
      </c>
      <c r="E26" s="43"/>
      <c r="F26" s="39"/>
      <c r="G26" s="17">
        <v>0.25</v>
      </c>
      <c r="H26" s="17" t="s">
        <v>69</v>
      </c>
    </row>
    <row r="27" spans="2:8" x14ac:dyDescent="0.25">
      <c r="B27" s="55" t="s">
        <v>108</v>
      </c>
      <c r="C27" s="56" t="s">
        <v>26</v>
      </c>
      <c r="D27" s="58">
        <f>ROUNDUP(Cd,0)</f>
        <v>39</v>
      </c>
      <c r="E27" s="6"/>
      <c r="G27" s="44" t="s">
        <v>76</v>
      </c>
      <c r="H27" s="44"/>
    </row>
    <row r="28" spans="2:8" x14ac:dyDescent="0.25">
      <c r="B28" s="55" t="s">
        <v>56</v>
      </c>
      <c r="C28" s="56" t="s">
        <v>14</v>
      </c>
      <c r="D28" s="57">
        <f>Ncis</f>
        <v>3.9848109893469941</v>
      </c>
      <c r="E28" s="6"/>
    </row>
    <row r="29" spans="2:8" x14ac:dyDescent="0.25">
      <c r="B29" s="55" t="s">
        <v>87</v>
      </c>
      <c r="C29" s="56" t="s">
        <v>86</v>
      </c>
      <c r="D29" s="58">
        <f>ROUNDUP(Pm,0)</f>
        <v>2379</v>
      </c>
      <c r="E29" s="6"/>
    </row>
    <row r="30" spans="2:8" ht="13.8" thickBot="1" x14ac:dyDescent="0.3">
      <c r="B30" s="59" t="s">
        <v>74</v>
      </c>
      <c r="C30" s="60" t="s">
        <v>73</v>
      </c>
      <c r="D30" s="61">
        <f>ROUNDUP(Pf,0)</f>
        <v>1879</v>
      </c>
      <c r="E30" s="6"/>
    </row>
    <row r="31" spans="2:8" ht="13.8" thickBot="1" x14ac:dyDescent="0.3">
      <c r="B31" s="32"/>
      <c r="C31" s="5"/>
      <c r="D31" s="33"/>
      <c r="E31" s="6"/>
    </row>
    <row r="32" spans="2:8" ht="13.8" thickBot="1" x14ac:dyDescent="0.3">
      <c r="B32" s="65" t="s">
        <v>110</v>
      </c>
      <c r="C32" s="66"/>
      <c r="D32" s="67"/>
      <c r="E32" s="6"/>
      <c r="F32" s="68" t="str">
        <f>"Ptot. : " &amp; ROUNDUP(D29+D36,0) &amp; " Watts"</f>
        <v>Ptot. : 6917 Watts</v>
      </c>
    </row>
    <row r="33" spans="2:6" x14ac:dyDescent="0.25">
      <c r="B33" s="52" t="s">
        <v>117</v>
      </c>
      <c r="C33" s="53" t="s">
        <v>118</v>
      </c>
      <c r="D33" s="57">
        <f>PrApp</f>
        <v>-25.464790894703256</v>
      </c>
      <c r="E33" s="6"/>
      <c r="F33" s="68"/>
    </row>
    <row r="34" spans="2:6" x14ac:dyDescent="0.25">
      <c r="B34" s="55" t="s">
        <v>12</v>
      </c>
      <c r="C34" s="56" t="s">
        <v>119</v>
      </c>
      <c r="D34" s="57">
        <f>VmApp</f>
        <v>1.7453292519943293</v>
      </c>
      <c r="E34" s="6"/>
    </row>
    <row r="35" spans="2:6" x14ac:dyDescent="0.25">
      <c r="B35" s="55" t="s">
        <v>111</v>
      </c>
      <c r="C35" s="56" t="s">
        <v>102</v>
      </c>
      <c r="D35" s="57">
        <f>ROUNDUP(Capp,0)</f>
        <v>130</v>
      </c>
      <c r="E35" s="6"/>
    </row>
    <row r="36" spans="2:6" ht="13.8" thickBot="1" x14ac:dyDescent="0.3">
      <c r="B36" s="59" t="s">
        <v>112</v>
      </c>
      <c r="C36" s="60" t="s">
        <v>103</v>
      </c>
      <c r="D36" s="62">
        <f>ROUNDUP(Papp,0)</f>
        <v>4538</v>
      </c>
      <c r="E36" s="6"/>
    </row>
    <row r="37" spans="2:6" x14ac:dyDescent="0.25">
      <c r="B37" s="12"/>
      <c r="D37" s="13"/>
      <c r="E37" s="6"/>
    </row>
    <row r="38" spans="2:6" x14ac:dyDescent="0.25">
      <c r="B38" s="12"/>
      <c r="D38" s="13"/>
      <c r="E38" s="6"/>
    </row>
    <row r="39" spans="2:6" x14ac:dyDescent="0.25">
      <c r="B39" s="12"/>
      <c r="D39" s="13"/>
      <c r="E39" s="6"/>
    </row>
    <row r="40" spans="2:6" x14ac:dyDescent="0.25">
      <c r="B40" s="12"/>
      <c r="D40" s="13"/>
      <c r="E40" s="6"/>
    </row>
    <row r="41" spans="2:6" x14ac:dyDescent="0.25">
      <c r="B41" s="12"/>
      <c r="D41" s="13"/>
      <c r="E41" s="6"/>
    </row>
    <row r="42" spans="2:6" ht="13.8" thickBot="1" x14ac:dyDescent="0.3">
      <c r="B42" s="12"/>
      <c r="E42" s="6"/>
    </row>
    <row r="43" spans="2:6" ht="13.8" thickBot="1" x14ac:dyDescent="0.3">
      <c r="B43" s="65" t="s">
        <v>15</v>
      </c>
      <c r="C43" s="66"/>
      <c r="D43" s="67"/>
      <c r="E43" s="6"/>
    </row>
    <row r="44" spans="2:6" x14ac:dyDescent="0.25">
      <c r="B44" s="46" t="s">
        <v>77</v>
      </c>
      <c r="C44" s="30" t="s">
        <v>52</v>
      </c>
      <c r="D44" s="31">
        <f>α/2/360*2*PI()</f>
        <v>0.26179938779914941</v>
      </c>
      <c r="F44" s="7" t="s">
        <v>57</v>
      </c>
    </row>
    <row r="45" spans="2:6" x14ac:dyDescent="0.25">
      <c r="B45" s="47" t="s">
        <v>17</v>
      </c>
      <c r="C45" s="18" t="s">
        <v>18</v>
      </c>
      <c r="D45" s="22">
        <f>Dnom-(P/2/Nf)</f>
        <v>39.75</v>
      </c>
      <c r="E45"/>
      <c r="F45" s="7" t="s">
        <v>94</v>
      </c>
    </row>
    <row r="46" spans="2:6" x14ac:dyDescent="0.25">
      <c r="B46" s="47" t="s">
        <v>78</v>
      </c>
      <c r="C46" s="18" t="s">
        <v>19</v>
      </c>
      <c r="D46" s="22">
        <f>Vz*2*PI()/(P*0.001)</f>
        <v>34.906585039886586</v>
      </c>
      <c r="E46" s="2"/>
      <c r="F46" s="7" t="s">
        <v>58</v>
      </c>
    </row>
    <row r="47" spans="2:6" x14ac:dyDescent="0.25">
      <c r="B47" s="47" t="s">
        <v>124</v>
      </c>
      <c r="C47" s="18" t="s">
        <v>125</v>
      </c>
      <c r="D47" s="22">
        <f>Va/PI()*30</f>
        <v>333.33333333333331</v>
      </c>
      <c r="E47" s="2"/>
      <c r="F47" s="7" t="s">
        <v>126</v>
      </c>
    </row>
    <row r="48" spans="2:6" x14ac:dyDescent="0.25">
      <c r="B48" s="47"/>
      <c r="C48" s="19"/>
      <c r="D48" s="22"/>
      <c r="E48" s="6"/>
    </row>
    <row r="49" spans="2:6" x14ac:dyDescent="0.25">
      <c r="B49" s="47" t="s">
        <v>20</v>
      </c>
      <c r="C49" s="18" t="s">
        <v>21</v>
      </c>
      <c r="D49" s="22">
        <f>Fv*P*0.001/2/PI()</f>
        <v>14.323944878270581</v>
      </c>
      <c r="E49" s="6"/>
      <c r="F49" s="7" t="s">
        <v>59</v>
      </c>
    </row>
    <row r="50" spans="2:6" x14ac:dyDescent="0.25">
      <c r="B50" s="47" t="s">
        <v>22</v>
      </c>
      <c r="C50" s="18" t="s">
        <v>23</v>
      </c>
      <c r="D50" s="22">
        <f>-Cum</f>
        <v>-14.323944878270581</v>
      </c>
      <c r="E50" s="6"/>
      <c r="F50" s="7" t="s">
        <v>24</v>
      </c>
    </row>
    <row r="51" spans="2:6" x14ac:dyDescent="0.25">
      <c r="B51" s="47" t="s">
        <v>83</v>
      </c>
      <c r="C51" s="18" t="s">
        <v>25</v>
      </c>
      <c r="D51" s="22">
        <f>Fv*Dm/2*((P+PI()*f*Dm/COS(DemAlph))/(PI()*Dm-f*P/COS(DemAlph)))*0.001</f>
        <v>68.15236780805435</v>
      </c>
      <c r="E51" s="6"/>
      <c r="F51" s="7" t="s">
        <v>60</v>
      </c>
    </row>
    <row r="52" spans="2:6" x14ac:dyDescent="0.25">
      <c r="B52" s="47" t="s">
        <v>84</v>
      </c>
      <c r="C52" s="18" t="s">
        <v>26</v>
      </c>
      <c r="D52" s="22">
        <f>Fv*Dm/2*((PI()*f*Dm/COS(DemAlph)-P)/(PI()*Dm+f*P/COS(DemAlph)))*0.001</f>
        <v>38.984882316622318</v>
      </c>
      <c r="E52" s="6"/>
      <c r="F52" s="7" t="s">
        <v>61</v>
      </c>
    </row>
    <row r="53" spans="2:6" x14ac:dyDescent="0.25">
      <c r="B53" s="47" t="s">
        <v>27</v>
      </c>
      <c r="C53" s="18" t="s">
        <v>28</v>
      </c>
      <c r="D53" s="22">
        <f>Cm-Cum</f>
        <v>53.82842292978377</v>
      </c>
      <c r="E53" s="6"/>
      <c r="F53" s="7" t="s">
        <v>29</v>
      </c>
    </row>
    <row r="54" spans="2:6" x14ac:dyDescent="0.25">
      <c r="B54" s="47" t="s">
        <v>30</v>
      </c>
      <c r="C54" s="18" t="s">
        <v>31</v>
      </c>
      <c r="D54" s="22">
        <f>Cd-Cud</f>
        <v>53.308827194892899</v>
      </c>
      <c r="E54" s="6"/>
      <c r="F54" s="7" t="s">
        <v>62</v>
      </c>
    </row>
    <row r="55" spans="2:6" x14ac:dyDescent="0.25">
      <c r="B55" s="47" t="s">
        <v>101</v>
      </c>
      <c r="C55" s="18" t="s">
        <v>102</v>
      </c>
      <c r="D55" s="22">
        <f>Fv *fapp* (DmaxApp+DminApp)/2*0.001</f>
        <v>130</v>
      </c>
      <c r="E55" s="6"/>
      <c r="F55" s="7" t="s">
        <v>106</v>
      </c>
    </row>
    <row r="56" spans="2:6" x14ac:dyDescent="0.25">
      <c r="B56" s="47" t="s">
        <v>74</v>
      </c>
      <c r="C56" s="18" t="s">
        <v>73</v>
      </c>
      <c r="D56" s="22">
        <f>Cfm*Va</f>
        <v>1878.9664225614781</v>
      </c>
      <c r="E56" s="6"/>
      <c r="F56" s="7" t="s">
        <v>88</v>
      </c>
    </row>
    <row r="57" spans="2:6" x14ac:dyDescent="0.25">
      <c r="B57" s="47" t="s">
        <v>87</v>
      </c>
      <c r="C57" s="18" t="s">
        <v>86</v>
      </c>
      <c r="D57" s="22">
        <f>Cm*Va</f>
        <v>2378.9664225614783</v>
      </c>
      <c r="E57" s="6"/>
      <c r="F57" s="7" t="s">
        <v>89</v>
      </c>
    </row>
    <row r="58" spans="2:6" x14ac:dyDescent="0.25">
      <c r="B58" s="47" t="s">
        <v>112</v>
      </c>
      <c r="C58" s="18" t="s">
        <v>103</v>
      </c>
      <c r="D58" s="22">
        <f>Capp*Va</f>
        <v>4537.8560551852561</v>
      </c>
      <c r="E58" s="6"/>
      <c r="F58" s="7" t="s">
        <v>113</v>
      </c>
    </row>
    <row r="59" spans="2:6" x14ac:dyDescent="0.25">
      <c r="B59" s="47" t="s">
        <v>32</v>
      </c>
      <c r="C59" s="18" t="s">
        <v>33</v>
      </c>
      <c r="D59" s="22">
        <f>PI()*Dm*P/2/Nf</f>
        <v>280.97619295543711</v>
      </c>
      <c r="E59" s="6"/>
      <c r="F59" s="7" t="s">
        <v>92</v>
      </c>
    </row>
    <row r="60" spans="2:6" x14ac:dyDescent="0.25">
      <c r="B60" s="47" t="s">
        <v>34</v>
      </c>
      <c r="C60" s="18" t="s">
        <v>35</v>
      </c>
      <c r="D60" s="22">
        <f>H/P*Nf</f>
        <v>13.333333333333334</v>
      </c>
      <c r="E60" s="6"/>
      <c r="F60" s="7" t="s">
        <v>93</v>
      </c>
    </row>
    <row r="61" spans="2:6" x14ac:dyDescent="0.25">
      <c r="B61" s="47" t="s">
        <v>36</v>
      </c>
      <c r="C61" s="18" t="s">
        <v>37</v>
      </c>
      <c r="D61" s="22">
        <f>IF(Ntf &lt; 1.5*Dnom/P*Nf, Ntf, 1.5*Dnom/P*Nf )</f>
        <v>13.333333333333334</v>
      </c>
      <c r="E61" s="6"/>
      <c r="F61" s="7" t="s">
        <v>38</v>
      </c>
    </row>
    <row r="62" spans="2:6" x14ac:dyDescent="0.25">
      <c r="B62" s="47" t="s">
        <v>39</v>
      </c>
      <c r="C62" s="18" t="s">
        <v>40</v>
      </c>
      <c r="D62" s="22">
        <f>Sc*Npf</f>
        <v>3746.3492394058285</v>
      </c>
      <c r="E62" s="6"/>
      <c r="F62" s="7" t="s">
        <v>41</v>
      </c>
    </row>
    <row r="63" spans="2:6" x14ac:dyDescent="0.25">
      <c r="B63" s="47" t="s">
        <v>42</v>
      </c>
      <c r="C63" s="18" t="s">
        <v>43</v>
      </c>
      <c r="D63" s="22">
        <f>PI()*Dnom*(P/2/Nf*(1+TAN(DemAlph)))</f>
        <v>376.4293975323057</v>
      </c>
      <c r="E63" s="6"/>
      <c r="F63" s="7" t="s">
        <v>95</v>
      </c>
    </row>
    <row r="64" spans="2:6" x14ac:dyDescent="0.25">
      <c r="B64" s="47" t="s">
        <v>44</v>
      </c>
      <c r="C64" s="18" t="s">
        <v>45</v>
      </c>
      <c r="D64" s="22">
        <f>S1_*Npf</f>
        <v>5019.0586337640761</v>
      </c>
      <c r="E64" s="6"/>
      <c r="F64" s="7" t="s">
        <v>46</v>
      </c>
    </row>
    <row r="65" spans="2:6" x14ac:dyDescent="0.25">
      <c r="B65" s="48"/>
      <c r="C65" s="20"/>
      <c r="D65" s="23"/>
      <c r="E65" s="6"/>
      <c r="F65"/>
    </row>
    <row r="66" spans="2:6" x14ac:dyDescent="0.25">
      <c r="B66" s="47" t="s">
        <v>55</v>
      </c>
      <c r="C66" s="18" t="s">
        <v>11</v>
      </c>
      <c r="D66" s="22">
        <f>Fv/Sct</f>
        <v>5.3385305858916672</v>
      </c>
      <c r="E66" s="6"/>
      <c r="F66" s="7" t="s">
        <v>47</v>
      </c>
    </row>
    <row r="67" spans="2:6" x14ac:dyDescent="0.25">
      <c r="B67" s="47" t="s">
        <v>12</v>
      </c>
      <c r="C67" s="18" t="s">
        <v>13</v>
      </c>
      <c r="D67" s="22">
        <f>Dm/2*Va*0.001</f>
        <v>0.69376837766774591</v>
      </c>
      <c r="E67" s="6"/>
      <c r="F67" s="7" t="s">
        <v>48</v>
      </c>
    </row>
    <row r="68" spans="2:6" x14ac:dyDescent="0.25">
      <c r="B68" s="47" t="s">
        <v>117</v>
      </c>
      <c r="C68" s="18" t="s">
        <v>118</v>
      </c>
      <c r="D68" s="22">
        <f>Fv/(PI()*(DminApp^2-DmaxApp^2)/4)</f>
        <v>-25.464790894703256</v>
      </c>
      <c r="E68" s="6"/>
      <c r="F68" s="7" t="s">
        <v>121</v>
      </c>
    </row>
    <row r="69" spans="2:6" x14ac:dyDescent="0.25">
      <c r="B69" s="47" t="s">
        <v>120</v>
      </c>
      <c r="C69" s="18" t="s">
        <v>119</v>
      </c>
      <c r="D69" s="22">
        <f xml:space="preserve">  (DmaxApp+DminApp)/2*Va*0.001</f>
        <v>1.7453292519943293</v>
      </c>
      <c r="E69" s="6"/>
      <c r="F69" s="7" t="s">
        <v>122</v>
      </c>
    </row>
    <row r="70" spans="2:6" ht="13.8" thickBot="1" x14ac:dyDescent="0.3">
      <c r="B70" s="49" t="s">
        <v>56</v>
      </c>
      <c r="C70" s="25" t="s">
        <v>14</v>
      </c>
      <c r="D70" s="26">
        <f>Fv/Scis</f>
        <v>3.9848109893469941</v>
      </c>
      <c r="E70"/>
      <c r="F70" s="7" t="s">
        <v>49</v>
      </c>
    </row>
    <row r="71" spans="2:6" x14ac:dyDescent="0.25">
      <c r="D71" s="10"/>
      <c r="E71" s="6"/>
    </row>
    <row r="72" spans="2:6" x14ac:dyDescent="0.25">
      <c r="E72" s="6"/>
    </row>
    <row r="73" spans="2:6" x14ac:dyDescent="0.25">
      <c r="E73" s="6"/>
    </row>
    <row r="74" spans="2:6" x14ac:dyDescent="0.25">
      <c r="E74" s="6"/>
    </row>
    <row r="88" spans="1:8" customFormat="1" x14ac:dyDescent="0.25">
      <c r="A88" s="1"/>
      <c r="B88" s="8"/>
      <c r="C88" s="2"/>
      <c r="D88" s="4"/>
      <c r="E88" s="1"/>
      <c r="F88" s="7"/>
      <c r="G88" s="1"/>
      <c r="H88" s="1"/>
    </row>
    <row r="92" spans="1:8" x14ac:dyDescent="0.25">
      <c r="A92"/>
    </row>
    <row r="94" spans="1:8" x14ac:dyDescent="0.25">
      <c r="H94"/>
    </row>
    <row r="95" spans="1:8" x14ac:dyDescent="0.25">
      <c r="G95"/>
    </row>
  </sheetData>
  <mergeCells count="11">
    <mergeCell ref="G19:H19"/>
    <mergeCell ref="B4:D4"/>
    <mergeCell ref="F4:H5"/>
    <mergeCell ref="H20:H22"/>
    <mergeCell ref="G20:G22"/>
    <mergeCell ref="B43:D43"/>
    <mergeCell ref="B23:D23"/>
    <mergeCell ref="B32:D32"/>
    <mergeCell ref="F32:F33"/>
    <mergeCell ref="C14:D14"/>
    <mergeCell ref="C15:D15"/>
  </mergeCells>
  <phoneticPr fontId="0" type="noConversion"/>
  <printOptions gridLinesSet="0"/>
  <pageMargins left="0.59055118110236227" right="0.75" top="0.78" bottom="0.71" header="0.4921259845" footer="0.4921259845"/>
  <pageSetup paperSize="9" orientation="landscape" horizontalDpi="300" verticalDpi="4294967292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35</vt:i4>
      </vt:variant>
    </vt:vector>
  </HeadingPairs>
  <TitlesOfParts>
    <vt:vector size="36" baseType="lpstr">
      <vt:lpstr>Vis-Ecrou</vt:lpstr>
      <vt:lpstr>Capp</vt:lpstr>
      <vt:lpstr>Cd</vt:lpstr>
      <vt:lpstr>Cfd</vt:lpstr>
      <vt:lpstr>Cfm</vt:lpstr>
      <vt:lpstr>Cm</vt:lpstr>
      <vt:lpstr>Cud</vt:lpstr>
      <vt:lpstr>Cum</vt:lpstr>
      <vt:lpstr>DemAlph</vt:lpstr>
      <vt:lpstr>Dm</vt:lpstr>
      <vt:lpstr>DmaxApp</vt:lpstr>
      <vt:lpstr>DminApp</vt:lpstr>
      <vt:lpstr>Dnom</vt:lpstr>
      <vt:lpstr>f</vt:lpstr>
      <vt:lpstr>fapp</vt:lpstr>
      <vt:lpstr>Fv</vt:lpstr>
      <vt:lpstr>H</vt:lpstr>
      <vt:lpstr>Ncis</vt:lpstr>
      <vt:lpstr>Nf</vt:lpstr>
      <vt:lpstr>Npf</vt:lpstr>
      <vt:lpstr>Ntf</vt:lpstr>
      <vt:lpstr>P</vt:lpstr>
      <vt:lpstr>Papp</vt:lpstr>
      <vt:lpstr>Pf</vt:lpstr>
      <vt:lpstr>Pm</vt:lpstr>
      <vt:lpstr>PrApp</vt:lpstr>
      <vt:lpstr>Prf</vt:lpstr>
      <vt:lpstr>S1_</vt:lpstr>
      <vt:lpstr>Sc</vt:lpstr>
      <vt:lpstr>Scis</vt:lpstr>
      <vt:lpstr>Sct</vt:lpstr>
      <vt:lpstr>Va</vt:lpstr>
      <vt:lpstr>VmApp</vt:lpstr>
      <vt:lpstr>Vmf</vt:lpstr>
      <vt:lpstr>Vz</vt:lpstr>
      <vt:lpstr>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</dc:creator>
  <cp:lastModifiedBy>René Maingonnat</cp:lastModifiedBy>
  <dcterms:created xsi:type="dcterms:W3CDTF">2009-04-15T13:26:48Z</dcterms:created>
  <dcterms:modified xsi:type="dcterms:W3CDTF">2021-01-23T17:45:28Z</dcterms:modified>
</cp:coreProperties>
</file>